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<sst xmlns="http://schemas.openxmlformats.org/spreadsheetml/2006/main" count="1159" uniqueCount="198">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</sst>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3115180.48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7">
      <selection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586813.7200000001</v>
      </c>
      <c r="G8" s="191">
        <f aca="true" t="shared" si="0" ref="G8:G37">F8-E8</f>
        <v>-29714.259999999893</v>
      </c>
      <c r="H8" s="192">
        <f>F8/E8*100</f>
        <v>95.18038743351114</v>
      </c>
      <c r="I8" s="193">
        <f>F8-D8</f>
        <v>-347257.73</v>
      </c>
      <c r="J8" s="193">
        <f>F8/D8*100</f>
        <v>62.82321550455268</v>
      </c>
      <c r="K8" s="191">
        <f>429512.12</f>
        <v>429512.12</v>
      </c>
      <c r="L8" s="191">
        <f aca="true" t="shared" si="1" ref="L8:L51">F8-K8</f>
        <v>157301.6000000001</v>
      </c>
      <c r="M8" s="250">
        <f aca="true" t="shared" si="2" ref="M8:M28">F8/K8</f>
        <v>1.3662332043156316</v>
      </c>
      <c r="N8" s="191">
        <f>N9+N15+N18+N19+N20+N17</f>
        <v>117576.69999999995</v>
      </c>
      <c r="O8" s="191">
        <f>O9+O15+O18+O19+O20+O17</f>
        <v>43006.75999999998</v>
      </c>
      <c r="P8" s="191">
        <f>O8-N8</f>
        <v>-74569.93999999997</v>
      </c>
      <c r="Q8" s="191">
        <f>O8/N8*100</f>
        <v>36.5776212463864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319682.8</v>
      </c>
      <c r="G9" s="190">
        <f t="shared" si="0"/>
        <v>-8810.869999999995</v>
      </c>
      <c r="H9" s="197">
        <f>F9/E9*100</f>
        <v>97.31779610852168</v>
      </c>
      <c r="I9" s="198">
        <f>F9-D9</f>
        <v>-210906.2</v>
      </c>
      <c r="J9" s="198">
        <f>F9/D9*100</f>
        <v>60.25055174532453</v>
      </c>
      <c r="K9" s="199">
        <v>233711.01</v>
      </c>
      <c r="L9" s="199">
        <f t="shared" si="1"/>
        <v>85971.78999999998</v>
      </c>
      <c r="M9" s="251">
        <f t="shared" si="2"/>
        <v>1.3678551130304044</v>
      </c>
      <c r="N9" s="197">
        <f>E9-липень!E9</f>
        <v>65234.399999999965</v>
      </c>
      <c r="O9" s="200">
        <f>F9-липень!F9</f>
        <v>24273.089999999967</v>
      </c>
      <c r="P9" s="201">
        <f>O9-N9</f>
        <v>-40961.31</v>
      </c>
      <c r="Q9" s="198">
        <f>O9/N9*100</f>
        <v>37.20903388396303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370.7</v>
      </c>
      <c r="G15" s="190">
        <f t="shared" si="0"/>
        <v>5.699999999999989</v>
      </c>
      <c r="H15" s="197">
        <f>F15/E15*100</f>
        <v>101.56164383561644</v>
      </c>
      <c r="I15" s="198">
        <f t="shared" si="4"/>
        <v>-129.3</v>
      </c>
      <c r="J15" s="198">
        <f t="shared" si="5"/>
        <v>74.14</v>
      </c>
      <c r="K15" s="201">
        <v>-734.58</v>
      </c>
      <c r="L15" s="201">
        <f t="shared" si="1"/>
        <v>1105.28</v>
      </c>
      <c r="M15" s="253">
        <f t="shared" si="2"/>
        <v>-0.5046421084156932</v>
      </c>
      <c r="N15" s="197">
        <f>E15-липень!E15</f>
        <v>115</v>
      </c>
      <c r="O15" s="200">
        <f>F15-липень!F15</f>
        <v>61.45999999999998</v>
      </c>
      <c r="P15" s="201">
        <f t="shared" si="6"/>
        <v>-53.54000000000002</v>
      </c>
      <c r="Q15" s="198">
        <f t="shared" si="7"/>
        <v>53.44347826086955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54774.4</v>
      </c>
      <c r="G19" s="190">
        <f t="shared" si="0"/>
        <v>-14485.999999999993</v>
      </c>
      <c r="H19" s="197">
        <f t="shared" si="3"/>
        <v>79.084729513546</v>
      </c>
      <c r="I19" s="198">
        <f t="shared" si="4"/>
        <v>-55125.6</v>
      </c>
      <c r="J19" s="198">
        <f t="shared" si="5"/>
        <v>49.84021838034577</v>
      </c>
      <c r="K19" s="209">
        <v>43877.66</v>
      </c>
      <c r="L19" s="201">
        <f t="shared" si="1"/>
        <v>10896.739999999998</v>
      </c>
      <c r="M19" s="259">
        <f t="shared" si="2"/>
        <v>1.2483436901603229</v>
      </c>
      <c r="N19" s="197">
        <f>E19-липень!E19</f>
        <v>10499.999999999993</v>
      </c>
      <c r="O19" s="200">
        <f>F19-липень!F19</f>
        <v>483.20000000000437</v>
      </c>
      <c r="P19" s="201">
        <f t="shared" si="6"/>
        <v>-10016.799999999988</v>
      </c>
      <c r="Q19" s="198">
        <f aca="true" t="shared" si="9" ref="Q19:Q24">O19/N19*100</f>
        <v>4.601904761904807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211879.85</v>
      </c>
      <c r="G20" s="190">
        <f t="shared" si="0"/>
        <v>-6423.25999999998</v>
      </c>
      <c r="H20" s="197">
        <f t="shared" si="3"/>
        <v>97.05764155169389</v>
      </c>
      <c r="I20" s="198">
        <f t="shared" si="4"/>
        <v>-81096.80000000002</v>
      </c>
      <c r="J20" s="198">
        <f t="shared" si="5"/>
        <v>72.31970534170556</v>
      </c>
      <c r="K20" s="198">
        <v>147068.17</v>
      </c>
      <c r="L20" s="201">
        <f t="shared" si="1"/>
        <v>64811.67999999999</v>
      </c>
      <c r="M20" s="254">
        <f t="shared" si="2"/>
        <v>1.4406914154164017</v>
      </c>
      <c r="N20" s="197">
        <f>N21+N30+N31+N32</f>
        <v>41631.5</v>
      </c>
      <c r="O20" s="200">
        <f>F20-липень!F20</f>
        <v>18189.01000000001</v>
      </c>
      <c r="P20" s="201">
        <f t="shared" si="6"/>
        <v>-23442.48999999999</v>
      </c>
      <c r="Q20" s="198">
        <f t="shared" si="9"/>
        <v>43.69049878097116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110013.40000000001</v>
      </c>
      <c r="G21" s="190">
        <f t="shared" si="0"/>
        <v>-9425.559999999983</v>
      </c>
      <c r="H21" s="197">
        <f t="shared" si="3"/>
        <v>92.10847113873064</v>
      </c>
      <c r="I21" s="198">
        <f t="shared" si="4"/>
        <v>-64886.249999999985</v>
      </c>
      <c r="J21" s="198">
        <f t="shared" si="5"/>
        <v>62.900869155541486</v>
      </c>
      <c r="K21" s="198">
        <v>79798.88</v>
      </c>
      <c r="L21" s="201">
        <f t="shared" si="1"/>
        <v>30214.520000000004</v>
      </c>
      <c r="M21" s="254">
        <f t="shared" si="2"/>
        <v>1.378633384328201</v>
      </c>
      <c r="N21" s="197">
        <f>N22+N25+N26</f>
        <v>22950.3</v>
      </c>
      <c r="O21" s="200">
        <f>F21-червень!F21</f>
        <v>24019.01000000001</v>
      </c>
      <c r="P21" s="201">
        <f t="shared" si="6"/>
        <v>1068.71000000001</v>
      </c>
      <c r="Q21" s="198">
        <f t="shared" si="9"/>
        <v>104.6566275822103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14363.4</v>
      </c>
      <c r="G22" s="212">
        <f t="shared" si="0"/>
        <v>-213.5</v>
      </c>
      <c r="H22" s="214">
        <f t="shared" si="3"/>
        <v>98.53535388182672</v>
      </c>
      <c r="I22" s="215">
        <f t="shared" si="4"/>
        <v>-4136.6</v>
      </c>
      <c r="J22" s="215">
        <f t="shared" si="5"/>
        <v>77.64</v>
      </c>
      <c r="K22" s="216">
        <v>8673.74</v>
      </c>
      <c r="L22" s="206">
        <f t="shared" si="1"/>
        <v>5689.66</v>
      </c>
      <c r="M22" s="262">
        <f t="shared" si="2"/>
        <v>1.6559638633392286</v>
      </c>
      <c r="N22" s="214">
        <f>E22-липень!E22</f>
        <v>1985.2999999999993</v>
      </c>
      <c r="O22" s="217">
        <f>F22-липень!F22</f>
        <v>493.2600000000002</v>
      </c>
      <c r="P22" s="218">
        <f t="shared" si="6"/>
        <v>-1492.039999999999</v>
      </c>
      <c r="Q22" s="215">
        <f t="shared" si="9"/>
        <v>24.845615272251067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560.7</v>
      </c>
      <c r="G25" s="212">
        <f t="shared" si="0"/>
        <v>-332.43999999999994</v>
      </c>
      <c r="H25" s="214">
        <f t="shared" si="3"/>
        <v>62.77851176747207</v>
      </c>
      <c r="I25" s="215">
        <f t="shared" si="4"/>
        <v>-439.29999999999995</v>
      </c>
      <c r="J25" s="215">
        <f t="shared" si="5"/>
        <v>56.07000000000001</v>
      </c>
      <c r="K25" s="215">
        <v>3116.95</v>
      </c>
      <c r="L25" s="215">
        <f t="shared" si="1"/>
        <v>-2556.25</v>
      </c>
      <c r="M25" s="257">
        <f t="shared" si="2"/>
        <v>0.17988738991642472</v>
      </c>
      <c r="N25" s="214">
        <f>E25-липень!E25</f>
        <v>200</v>
      </c>
      <c r="O25" s="217">
        <f>F25-липень!F25</f>
        <v>81.90000000000003</v>
      </c>
      <c r="P25" s="218">
        <f t="shared" si="6"/>
        <v>-118.09999999999997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95089.3</v>
      </c>
      <c r="G26" s="212">
        <f t="shared" si="0"/>
        <v>-8879.619999999995</v>
      </c>
      <c r="H26" s="214">
        <f t="shared" si="3"/>
        <v>91.45935150620012</v>
      </c>
      <c r="I26" s="215">
        <f t="shared" si="4"/>
        <v>-60310.34999999999</v>
      </c>
      <c r="J26" s="215">
        <f t="shared" si="5"/>
        <v>61.19016355570943</v>
      </c>
      <c r="K26" s="216">
        <v>68008.19</v>
      </c>
      <c r="L26" s="216">
        <f t="shared" si="1"/>
        <v>27081.11</v>
      </c>
      <c r="M26" s="256">
        <f t="shared" si="2"/>
        <v>1.398203657530071</v>
      </c>
      <c r="N26" s="214">
        <f>E26-липень!E26</f>
        <v>20765</v>
      </c>
      <c r="O26" s="217">
        <f>F26-липень!F26</f>
        <v>3481.5100000000093</v>
      </c>
      <c r="P26" s="218">
        <f t="shared" si="6"/>
        <v>-17283.48999999999</v>
      </c>
      <c r="Q26" s="215">
        <f>O26/N26*100</f>
        <v>16.766241271370138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79.6</v>
      </c>
      <c r="G30" s="190">
        <f t="shared" si="0"/>
        <v>31.289999999999992</v>
      </c>
      <c r="H30" s="197">
        <f t="shared" si="3"/>
        <v>164.76919892361826</v>
      </c>
      <c r="I30" s="198">
        <f t="shared" si="4"/>
        <v>2.5999999999999943</v>
      </c>
      <c r="J30" s="198">
        <f t="shared" si="5"/>
        <v>103.37662337662337</v>
      </c>
      <c r="K30" s="198">
        <v>48.85</v>
      </c>
      <c r="L30" s="198">
        <f t="shared" si="1"/>
        <v>30.749999999999993</v>
      </c>
      <c r="M30" s="255">
        <f>F30/K30</f>
        <v>1.6294779938587511</v>
      </c>
      <c r="N30" s="197">
        <f>E30-липень!E30</f>
        <v>7.400000000000006</v>
      </c>
      <c r="O30" s="200">
        <f>F30-липень!F30</f>
        <v>13.97999999999999</v>
      </c>
      <c r="P30" s="201">
        <f t="shared" si="6"/>
        <v>6.579999999999984</v>
      </c>
      <c r="Q30" s="198">
        <f>O30/N30*100</f>
        <v>188.91891891891862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101933.9</v>
      </c>
      <c r="G32" s="202">
        <f t="shared" si="0"/>
        <v>3118.0599999999977</v>
      </c>
      <c r="H32" s="204">
        <f t="shared" si="3"/>
        <v>103.15542528404353</v>
      </c>
      <c r="I32" s="205">
        <f t="shared" si="4"/>
        <v>-16066.100000000006</v>
      </c>
      <c r="J32" s="205">
        <f t="shared" si="5"/>
        <v>86.38466101694915</v>
      </c>
      <c r="K32" s="219">
        <v>67835.01</v>
      </c>
      <c r="L32" s="219">
        <f t="shared" si="1"/>
        <v>34098.89</v>
      </c>
      <c r="M32" s="258">
        <f>F32/L32</f>
        <v>2.9893612372719462</v>
      </c>
      <c r="N32" s="197">
        <f>E32-липень!E32</f>
        <v>18673.800000000003</v>
      </c>
      <c r="O32" s="200">
        <f>F32-липень!F32</f>
        <v>14126.829999999987</v>
      </c>
      <c r="P32" s="207">
        <f t="shared" si="6"/>
        <v>-4546.970000000016</v>
      </c>
      <c r="Q32" s="205">
        <f>O32/N32*100</f>
        <v>75.65053711617338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42084.2</v>
      </c>
      <c r="G38" s="191">
        <f>G39+G40+G41+G42+G43+G45+G47+G48+G49+G50+G51+G56+G57+G61</f>
        <v>3305.9700000000007</v>
      </c>
      <c r="H38" s="192">
        <f>F38/E38*100</f>
        <v>108.6015003988281</v>
      </c>
      <c r="I38" s="193">
        <f>F38-D38</f>
        <v>-14751.280000000006</v>
      </c>
      <c r="J38" s="193">
        <f>F38/D38*100</f>
        <v>74.04564895026839</v>
      </c>
      <c r="K38" s="191">
        <v>21607.34</v>
      </c>
      <c r="L38" s="191">
        <f t="shared" si="1"/>
        <v>20476.859999999997</v>
      </c>
      <c r="M38" s="250">
        <f t="shared" si="10"/>
        <v>1.947680741821992</v>
      </c>
      <c r="N38" s="191">
        <f>N39+N40+N41+N42+N43+N45+N47+N48+N49+N50+N51+N56+N57+N61+N44</f>
        <v>13756</v>
      </c>
      <c r="O38" s="191">
        <f>O39+O40+O41+O42+O43+O45+O47+O48+O49+O50+O51+O56+O57+O61+O44</f>
        <v>5297.92</v>
      </c>
      <c r="P38" s="191">
        <f>P39+P40+P41+P42+P43+P45+P47+P48+P49+P50+P51+P56+P57+P61</f>
        <v>-8457.799999999997</v>
      </c>
      <c r="Q38" s="191">
        <f>O38/N38*100</f>
        <v>38.51352137249201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376.4</v>
      </c>
      <c r="G39" s="202">
        <f>F39-E39</f>
        <v>-3.6000000000000227</v>
      </c>
      <c r="H39" s="204">
        <f aca="true" t="shared" si="11" ref="H39:H62">F39/E39*100</f>
        <v>99.05263157894736</v>
      </c>
      <c r="I39" s="205">
        <f>F39-D39</f>
        <v>-23.600000000000023</v>
      </c>
      <c r="J39" s="205">
        <f>F39/D39*100</f>
        <v>94.1</v>
      </c>
      <c r="K39" s="205">
        <v>-60.36</v>
      </c>
      <c r="L39" s="205">
        <f t="shared" si="1"/>
        <v>436.76</v>
      </c>
      <c r="M39" s="266">
        <f t="shared" si="10"/>
        <v>-6.235917826375083</v>
      </c>
      <c r="N39" s="204">
        <f>E39-липень!E39</f>
        <v>310</v>
      </c>
      <c r="O39" s="208">
        <f>F39-липень!F39</f>
        <v>135.01</v>
      </c>
      <c r="P39" s="207">
        <f>O39-N39</f>
        <v>-174.99</v>
      </c>
      <c r="Q39" s="205">
        <f aca="true" t="shared" si="12" ref="Q39:Q62">O39/N39*100</f>
        <v>43.55161290322581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191.1</v>
      </c>
      <c r="G43" s="202">
        <f t="shared" si="13"/>
        <v>111.1</v>
      </c>
      <c r="H43" s="204">
        <f t="shared" si="11"/>
        <v>238.875</v>
      </c>
      <c r="I43" s="205">
        <f t="shared" si="14"/>
        <v>41.099999999999994</v>
      </c>
      <c r="J43" s="205">
        <f t="shared" si="16"/>
        <v>127.4</v>
      </c>
      <c r="K43" s="205">
        <v>104.06</v>
      </c>
      <c r="L43" s="205">
        <f t="shared" si="1"/>
        <v>87.03999999999999</v>
      </c>
      <c r="M43" s="266">
        <f t="shared" si="17"/>
        <v>1.8364405150874494</v>
      </c>
      <c r="N43" s="204">
        <f>E43-липень!E43</f>
        <v>10</v>
      </c>
      <c r="O43" s="208">
        <f>F43-липень!F43</f>
        <v>3.1399999999999864</v>
      </c>
      <c r="P43" s="207">
        <f t="shared" si="15"/>
        <v>-6.860000000000014</v>
      </c>
      <c r="Q43" s="205">
        <f t="shared" si="12"/>
        <v>31.39999999999986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293</v>
      </c>
      <c r="G45" s="202">
        <f t="shared" si="13"/>
        <v>37</v>
      </c>
      <c r="H45" s="204">
        <f t="shared" si="11"/>
        <v>114.453125</v>
      </c>
      <c r="I45" s="205">
        <f t="shared" si="14"/>
        <v>-7</v>
      </c>
      <c r="J45" s="205">
        <f t="shared" si="16"/>
        <v>97.66666666666667</v>
      </c>
      <c r="K45" s="205">
        <v>0</v>
      </c>
      <c r="L45" s="205">
        <f t="shared" si="1"/>
        <v>293</v>
      </c>
      <c r="M45" s="266"/>
      <c r="N45" s="204">
        <f>E45-липень!E45</f>
        <v>208</v>
      </c>
      <c r="O45" s="208">
        <f>F45-липень!F45</f>
        <v>44.629999999999995</v>
      </c>
      <c r="P45" s="207">
        <f t="shared" si="15"/>
        <v>-163.37</v>
      </c>
      <c r="Q45" s="205">
        <f t="shared" si="12"/>
        <v>21.456730769230766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6593.3</v>
      </c>
      <c r="G47" s="202">
        <f t="shared" si="13"/>
        <v>454.27999999999975</v>
      </c>
      <c r="H47" s="204">
        <f t="shared" si="11"/>
        <v>107.39987815644842</v>
      </c>
      <c r="I47" s="205">
        <f t="shared" si="14"/>
        <v>-3306.7</v>
      </c>
      <c r="J47" s="205">
        <f t="shared" si="16"/>
        <v>66.5989898989899</v>
      </c>
      <c r="K47" s="205">
        <v>6772.05</v>
      </c>
      <c r="L47" s="205">
        <f t="shared" si="1"/>
        <v>-178.75</v>
      </c>
      <c r="M47" s="266">
        <f t="shared" si="17"/>
        <v>0.9736047430246381</v>
      </c>
      <c r="N47" s="204">
        <f>E47-липень!E47</f>
        <v>800</v>
      </c>
      <c r="O47" s="208">
        <f>F47-липень!F47</f>
        <v>502.6700000000001</v>
      </c>
      <c r="P47" s="207">
        <f t="shared" si="15"/>
        <v>-297.3299999999999</v>
      </c>
      <c r="Q47" s="205">
        <f t="shared" si="12"/>
        <v>62.83375000000001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145.8</v>
      </c>
      <c r="G48" s="202">
        <f t="shared" si="13"/>
        <v>-504.2</v>
      </c>
      <c r="H48" s="204">
        <f t="shared" si="11"/>
        <v>22.430769230769233</v>
      </c>
      <c r="I48" s="205">
        <f t="shared" si="14"/>
        <v>-504.2</v>
      </c>
      <c r="J48" s="205">
        <f t="shared" si="16"/>
        <v>22.430769230769233</v>
      </c>
      <c r="K48" s="205">
        <v>0</v>
      </c>
      <c r="L48" s="205">
        <f t="shared" si="1"/>
        <v>145.8</v>
      </c>
      <c r="M48" s="266"/>
      <c r="N48" s="204">
        <f>E48-липень!E48</f>
        <v>0</v>
      </c>
      <c r="O48" s="208">
        <f>F48-липень!F48</f>
        <v>28.41000000000001</v>
      </c>
      <c r="P48" s="207">
        <f t="shared" si="15"/>
        <v>28.41000000000001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4092.2</v>
      </c>
      <c r="G51" s="202">
        <f t="shared" si="13"/>
        <v>-298.9899999999998</v>
      </c>
      <c r="H51" s="204">
        <f t="shared" si="11"/>
        <v>93.19113953165315</v>
      </c>
      <c r="I51" s="205">
        <f t="shared" si="14"/>
        <v>-2907.84</v>
      </c>
      <c r="J51" s="205">
        <f t="shared" si="16"/>
        <v>58.45966594476602</v>
      </c>
      <c r="K51" s="205">
        <v>5221.43</v>
      </c>
      <c r="L51" s="205">
        <f t="shared" si="1"/>
        <v>-1129.2300000000005</v>
      </c>
      <c r="M51" s="266">
        <f t="shared" si="17"/>
        <v>0.7837316597177401</v>
      </c>
      <c r="N51" s="204">
        <f>E51-липень!E51</f>
        <v>519.9999999999995</v>
      </c>
      <c r="O51" s="208">
        <f>F51-липень!F51</f>
        <v>367.40999999999985</v>
      </c>
      <c r="P51" s="207">
        <f t="shared" si="15"/>
        <v>-152.5899999999997</v>
      </c>
      <c r="Q51" s="205">
        <f t="shared" si="12"/>
        <v>70.65576923076927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4525.8</v>
      </c>
      <c r="G57" s="202">
        <f t="shared" si="13"/>
        <v>957.8200000000002</v>
      </c>
      <c r="H57" s="204">
        <f t="shared" si="11"/>
        <v>126.84488141749675</v>
      </c>
      <c r="I57" s="205">
        <f t="shared" si="14"/>
        <v>-624.1999999999998</v>
      </c>
      <c r="J57" s="205">
        <f t="shared" si="16"/>
        <v>87.87961165048544</v>
      </c>
      <c r="K57" s="205">
        <v>3192.65</v>
      </c>
      <c r="L57" s="205">
        <f aca="true" t="shared" si="18" ref="L57:L63">F57-K57</f>
        <v>1333.15</v>
      </c>
      <c r="M57" s="266">
        <f t="shared" si="17"/>
        <v>1.4175684775969806</v>
      </c>
      <c r="N57" s="204">
        <f>E57-липень!E57</f>
        <v>930</v>
      </c>
      <c r="O57" s="208">
        <f>F57-липень!F57</f>
        <v>263.90000000000055</v>
      </c>
      <c r="P57" s="207">
        <f t="shared" si="15"/>
        <v>-666.0999999999995</v>
      </c>
      <c r="Q57" s="205">
        <f t="shared" si="12"/>
        <v>28.376344086021565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849.6</v>
      </c>
      <c r="G59" s="202"/>
      <c r="H59" s="204"/>
      <c r="I59" s="205"/>
      <c r="J59" s="205"/>
      <c r="K59" s="206">
        <v>890.52</v>
      </c>
      <c r="L59" s="205">
        <f t="shared" si="18"/>
        <v>-40.91999999999996</v>
      </c>
      <c r="M59" s="266">
        <f t="shared" si="17"/>
        <v>0.9540493194987198</v>
      </c>
      <c r="N59" s="236"/>
      <c r="O59" s="220">
        <f>F59-липень!F59</f>
        <v>115.76999999999998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628912.4700000001</v>
      </c>
      <c r="G64" s="191">
        <f>F64-E64</f>
        <v>-26383.53999999992</v>
      </c>
      <c r="H64" s="192">
        <f>F64/E64*100</f>
        <v>95.9737981618414</v>
      </c>
      <c r="I64" s="193">
        <f>F64-D64</f>
        <v>-362025.26</v>
      </c>
      <c r="J64" s="193">
        <f>F64/D64*100</f>
        <v>63.46639662211672</v>
      </c>
      <c r="K64" s="193">
        <v>451134.19</v>
      </c>
      <c r="L64" s="193">
        <f>F64-K64</f>
        <v>177778.2800000001</v>
      </c>
      <c r="M64" s="267">
        <f>F64/K64</f>
        <v>1.3940696226105143</v>
      </c>
      <c r="N64" s="191">
        <f>N8+N38+N62+N63</f>
        <v>131335.19999999995</v>
      </c>
      <c r="O64" s="191">
        <f>O8+O38+O62+O63</f>
        <v>48304.68999999998</v>
      </c>
      <c r="P64" s="195">
        <f>O64-N64</f>
        <v>-83030.50999999998</v>
      </c>
      <c r="Q64" s="193">
        <f>O64/N64*100</f>
        <v>36.779698055053025</v>
      </c>
      <c r="R64" s="28">
        <f>O64-34768</f>
        <v>13536.68999999998</v>
      </c>
      <c r="S64" s="128">
        <f>O64/34768</f>
        <v>1.3893433617119184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10230.8</v>
      </c>
      <c r="G75" s="202">
        <f t="shared" si="19"/>
        <v>7833.949999999999</v>
      </c>
      <c r="H75" s="204">
        <f>F75/E75*100</f>
        <v>426.8435655130692</v>
      </c>
      <c r="I75" s="207">
        <f t="shared" si="20"/>
        <v>4230.799999999999</v>
      </c>
      <c r="J75" s="207">
        <f>F75/D75*100</f>
        <v>170.51333333333332</v>
      </c>
      <c r="K75" s="207">
        <v>1838.64</v>
      </c>
      <c r="L75" s="207">
        <f t="shared" si="21"/>
        <v>8392.16</v>
      </c>
      <c r="M75" s="254">
        <f>F75/K75</f>
        <v>5.564330157072618</v>
      </c>
      <c r="N75" s="204">
        <f>E75-липень!E75</f>
        <v>302</v>
      </c>
      <c r="O75" s="208">
        <f>F75-липень!F75</f>
        <v>721.1099999999988</v>
      </c>
      <c r="P75" s="207">
        <f t="shared" si="22"/>
        <v>419.10999999999876</v>
      </c>
      <c r="Q75" s="207">
        <f>O75/N75*100</f>
        <v>238.77814569536383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18523.379999999997</v>
      </c>
      <c r="G77" s="226">
        <f t="shared" si="19"/>
        <v>10041.319999999998</v>
      </c>
      <c r="H77" s="227">
        <f>F77/E77*100</f>
        <v>218.38303431006145</v>
      </c>
      <c r="I77" s="228">
        <f t="shared" si="20"/>
        <v>852.3799999999974</v>
      </c>
      <c r="J77" s="228">
        <f>F77/D77*100</f>
        <v>104.82360930337839</v>
      </c>
      <c r="K77" s="228">
        <v>5991.37</v>
      </c>
      <c r="L77" s="228">
        <f t="shared" si="21"/>
        <v>12532.009999999998</v>
      </c>
      <c r="M77" s="260">
        <f>F77/K77</f>
        <v>3.091676861886346</v>
      </c>
      <c r="N77" s="226">
        <f>N73+N74+N75+N76</f>
        <v>1252.9</v>
      </c>
      <c r="O77" s="230">
        <f>O73+O74+O75+O76</f>
        <v>721.1299999999987</v>
      </c>
      <c r="P77" s="228">
        <f t="shared" si="22"/>
        <v>-531.7700000000013</v>
      </c>
      <c r="Q77" s="228">
        <f>O77/N77*100</f>
        <v>57.55686806608657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4912.3</v>
      </c>
      <c r="G80" s="202">
        <f t="shared" si="19"/>
        <v>-2711.3</v>
      </c>
      <c r="H80" s="204">
        <f>F80/E80*100</f>
        <v>64.4354373261976</v>
      </c>
      <c r="I80" s="207">
        <f t="shared" si="20"/>
        <v>-4587.7</v>
      </c>
      <c r="J80" s="207">
        <f>F80/D80*100</f>
        <v>51.70842105263158</v>
      </c>
      <c r="K80" s="207">
        <v>0</v>
      </c>
      <c r="L80" s="207">
        <f t="shared" si="21"/>
        <v>4912.3</v>
      </c>
      <c r="M80" s="254"/>
      <c r="N80" s="204">
        <f>E80-липень!E80</f>
        <v>2496.3</v>
      </c>
      <c r="O80" s="208">
        <f>F80-липень!F80</f>
        <v>9.960000000000036</v>
      </c>
      <c r="P80" s="207">
        <f>O80-N80</f>
        <v>-2486.34</v>
      </c>
      <c r="Q80" s="231">
        <f>O80/N80*100</f>
        <v>0.39899050594880564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4918.89</v>
      </c>
      <c r="G82" s="224">
        <f>G78+G81+G79+G80</f>
        <v>-2704.71</v>
      </c>
      <c r="H82" s="227">
        <f>F82/E82*100</f>
        <v>64.52187942704234</v>
      </c>
      <c r="I82" s="228">
        <f t="shared" si="20"/>
        <v>-4582.11</v>
      </c>
      <c r="J82" s="228">
        <f>F82/D82*100</f>
        <v>51.77233975371014</v>
      </c>
      <c r="K82" s="228">
        <v>0.83</v>
      </c>
      <c r="L82" s="228">
        <f t="shared" si="21"/>
        <v>4918.06</v>
      </c>
      <c r="M82" s="268">
        <f>F82/K82</f>
        <v>5926.373493975904</v>
      </c>
      <c r="N82" s="226">
        <f>N78+N81+N79+N80</f>
        <v>2496.3</v>
      </c>
      <c r="O82" s="230">
        <f>O78+O81+O79+O80</f>
        <v>10.420000000000037</v>
      </c>
      <c r="P82" s="226">
        <f>P78+P81+P79+P80</f>
        <v>-2485.88</v>
      </c>
      <c r="Q82" s="228">
        <f>O82/N82*100</f>
        <v>0.4174177783119031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23458.739999999998</v>
      </c>
      <c r="G85" s="233">
        <f>F85-E85</f>
        <v>7332.279999999999</v>
      </c>
      <c r="H85" s="234">
        <f>F85/E85*100</f>
        <v>145.4673871389009</v>
      </c>
      <c r="I85" s="235">
        <f>F85-D85</f>
        <v>-3756.260000000002</v>
      </c>
      <c r="J85" s="235">
        <f>F85/D85*100</f>
        <v>86.19783207789821</v>
      </c>
      <c r="K85" s="235">
        <v>6163.42</v>
      </c>
      <c r="L85" s="235">
        <f>F85-K85</f>
        <v>17295.32</v>
      </c>
      <c r="M85" s="269">
        <f>F85/K85</f>
        <v>3.8061238727849145</v>
      </c>
      <c r="N85" s="232">
        <f>N71+N83+N77+N82</f>
        <v>3749.7000000000003</v>
      </c>
      <c r="O85" s="232">
        <f>O71+O83+O77+O82+O84</f>
        <v>731.5499999999988</v>
      </c>
      <c r="P85" s="235">
        <f t="shared" si="22"/>
        <v>-3018.1500000000015</v>
      </c>
      <c r="Q85" s="235">
        <f>O85/N85*100</f>
        <v>19.509560764861156</v>
      </c>
      <c r="R85" s="28">
        <f>O85-8104.96</f>
        <v>-7373.410000000002</v>
      </c>
      <c r="S85" s="101">
        <f>O85/8104.96</f>
        <v>0.09025954477258355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652371.2100000001</v>
      </c>
      <c r="G86" s="233">
        <f>F86-E86</f>
        <v>-19051.259999999893</v>
      </c>
      <c r="H86" s="234">
        <f>F86/E86*100</f>
        <v>97.16255251332296</v>
      </c>
      <c r="I86" s="235">
        <f>F86-D86</f>
        <v>-365781.52</v>
      </c>
      <c r="J86" s="235">
        <f>F86/D86*100</f>
        <v>64.07400292488535</v>
      </c>
      <c r="K86" s="235">
        <f>K64+K85</f>
        <v>457297.61</v>
      </c>
      <c r="L86" s="235">
        <f>F86-K86</f>
        <v>195073.6000000001</v>
      </c>
      <c r="M86" s="269">
        <f>F86/K86</f>
        <v>1.4265790936453835</v>
      </c>
      <c r="N86" s="233">
        <f>N64+N85</f>
        <v>135084.89999999997</v>
      </c>
      <c r="O86" s="233">
        <f>O64+O85</f>
        <v>49036.239999999976</v>
      </c>
      <c r="P86" s="235">
        <f t="shared" si="22"/>
        <v>-86048.65999999999</v>
      </c>
      <c r="Q86" s="235">
        <f>O86/N86*100</f>
        <v>36.300311877937496</v>
      </c>
      <c r="R86" s="28">
        <f>O86-42872.96</f>
        <v>6163.279999999977</v>
      </c>
      <c r="S86" s="101">
        <f>O86/42872.96</f>
        <v>1.1437568108196863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9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9225.61222222222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42599</v>
      </c>
      <c r="D90" s="31">
        <v>3721.7</v>
      </c>
      <c r="G90" s="4" t="s">
        <v>59</v>
      </c>
      <c r="O90" s="438"/>
      <c r="P90" s="438"/>
      <c r="T90" s="186">
        <f t="shared" si="23"/>
        <v>3721.7</v>
      </c>
    </row>
    <row r="91" spans="3:16" ht="15">
      <c r="C91" s="87">
        <v>42598</v>
      </c>
      <c r="D91" s="31">
        <v>3866.6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42597</v>
      </c>
      <c r="D92" s="31">
        <v>4884.7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3115.18048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452.90000000000003</v>
      </c>
      <c r="G97" s="73">
        <f>G45+G48+G49</f>
        <v>-481.09999999999997</v>
      </c>
      <c r="H97" s="74"/>
      <c r="I97" s="74"/>
      <c r="N97" s="31">
        <f>N45+N48+N49</f>
        <v>212</v>
      </c>
      <c r="O97" s="246">
        <f>O45+O48+O49</f>
        <v>78.60000000000001</v>
      </c>
      <c r="P97" s="31">
        <f>P45+P48+P49</f>
        <v>-133.39999999999998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2016-08-18T06:30:23Z</cp:lastPrinted>
  <dcterms:created xsi:type="dcterms:W3CDTF">2003-07-28T11:27:56Z</dcterms:created>
  <dcterms:modified xsi:type="dcterms:W3CDTF">2016-08-18T07:17:58Z</dcterms:modified>
  <cp:category/>
  <cp:version/>
  <cp:contentType/>
  <cp:contentStatus/>
</cp:coreProperties>
</file>